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AMR\kuntayhtymät\Vesilaitosky\TA2026\"/>
    </mc:Choice>
  </mc:AlternateContent>
  <xr:revisionPtr revIDLastSave="0" documentId="13_ncr:1_{581C84BC-430B-40C2-8CC0-D33CD9D81EBA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Tulos ja rahoitus" sheetId="6" r:id="rId1"/>
    <sheet name="Taul1" sheetId="7" r:id="rId2"/>
  </sheets>
  <definedNames>
    <definedName name="Print_Area" localSheetId="0">'Tulos ja rahoitus'!$A$2:$B$40</definedName>
    <definedName name="_xlnm.Print_Area" localSheetId="0">'Tulos ja rahoitus'!$A$1:$F$64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6" l="1"/>
  <c r="K63" i="6"/>
  <c r="K34" i="6"/>
  <c r="M62" i="6"/>
  <c r="L62" i="6"/>
  <c r="M43" i="6"/>
  <c r="M26" i="6"/>
  <c r="M60" i="6"/>
  <c r="M50" i="6"/>
  <c r="M11" i="6"/>
  <c r="M17" i="6" s="1"/>
  <c r="M20" i="6" s="1"/>
  <c r="M34" i="6" s="1"/>
  <c r="M39" i="6" s="1"/>
  <c r="M5" i="6"/>
  <c r="J58" i="6" l="1"/>
  <c r="J60" i="6" s="1"/>
  <c r="J28" i="6"/>
  <c r="J63" i="6"/>
  <c r="L60" i="6"/>
  <c r="L50" i="6"/>
  <c r="L43" i="6"/>
  <c r="L39" i="6"/>
  <c r="L34" i="6"/>
  <c r="L26" i="6"/>
  <c r="L20" i="6"/>
  <c r="L17" i="6"/>
  <c r="L11" i="6"/>
  <c r="L5" i="6"/>
  <c r="I58" i="6"/>
  <c r="H58" i="6"/>
  <c r="G58" i="6"/>
  <c r="G63" i="6"/>
  <c r="K60" i="6"/>
  <c r="K62" i="6" s="1"/>
  <c r="K64" i="6" s="1"/>
  <c r="K11" i="6"/>
  <c r="K5" i="6"/>
  <c r="K17" i="6" l="1"/>
  <c r="K20" i="6" s="1"/>
  <c r="K26" i="6" s="1"/>
  <c r="K43" i="6" s="1"/>
  <c r="K50" i="6" s="1"/>
  <c r="J5" i="6"/>
  <c r="J11" i="6"/>
  <c r="I60" i="6"/>
  <c r="I5" i="6"/>
  <c r="I11" i="6"/>
  <c r="F44" i="6"/>
  <c r="F63" i="6"/>
  <c r="J17" i="6" l="1"/>
  <c r="J20" i="6" s="1"/>
  <c r="J26" i="6" s="1"/>
  <c r="J43" i="6" s="1"/>
  <c r="J50" i="6" s="1"/>
  <c r="J62" i="6" s="1"/>
  <c r="K39" i="6"/>
  <c r="I17" i="6"/>
  <c r="I20" i="6" s="1"/>
  <c r="I26" i="6" s="1"/>
  <c r="H5" i="6"/>
  <c r="H11" i="6"/>
  <c r="H60" i="6"/>
  <c r="J34" i="6" l="1"/>
  <c r="J39" i="6" s="1"/>
  <c r="I34" i="6"/>
  <c r="I39" i="6" s="1"/>
  <c r="I43" i="6"/>
  <c r="I50" i="6" s="1"/>
  <c r="I62" i="6" s="1"/>
  <c r="H17" i="6"/>
  <c r="H20" i="6" s="1"/>
  <c r="H26" i="6" s="1"/>
  <c r="H43" i="6" s="1"/>
  <c r="H50" i="6" l="1"/>
  <c r="H62" i="6" s="1"/>
  <c r="H34" i="6"/>
  <c r="H39" i="6" s="1"/>
  <c r="E58" i="6" l="1"/>
  <c r="G5" i="6"/>
  <c r="G11" i="6"/>
  <c r="G41" i="6"/>
  <c r="G44" i="6"/>
  <c r="G60" i="6"/>
  <c r="G17" i="6" l="1"/>
  <c r="G20" i="6" s="1"/>
  <c r="G26" i="6" s="1"/>
  <c r="G34" i="6" s="1"/>
  <c r="G39" i="6" s="1"/>
  <c r="F60" i="6"/>
  <c r="F41" i="6"/>
  <c r="F11" i="6"/>
  <c r="F5" i="6"/>
  <c r="G43" i="6" l="1"/>
  <c r="G50" i="6" s="1"/>
  <c r="G62" i="6" s="1"/>
  <c r="F17" i="6"/>
  <c r="F20" i="6" s="1"/>
  <c r="F26" i="6" s="1"/>
  <c r="F34" i="6" s="1"/>
  <c r="F39" i="6" s="1"/>
  <c r="F43" i="6" l="1"/>
  <c r="F50" i="6" s="1"/>
  <c r="F62" i="6" s="1"/>
  <c r="F64" i="6" s="1"/>
  <c r="G64" i="6" s="1"/>
  <c r="H63" i="6" s="1"/>
  <c r="H64" i="6" s="1"/>
  <c r="I63" i="6" s="1"/>
  <c r="I64" i="6" s="1"/>
  <c r="J64" i="6" s="1"/>
  <c r="L63" i="6" s="1"/>
  <c r="L64" i="6" s="1"/>
  <c r="M63" i="6" s="1"/>
  <c r="M64" i="6" s="1"/>
  <c r="D58" i="6" l="1"/>
  <c r="C47" i="6"/>
  <c r="B58" i="6" l="1"/>
  <c r="B55" i="6"/>
  <c r="C58" i="6"/>
  <c r="E41" i="6" l="1"/>
  <c r="E44" i="6"/>
  <c r="E60" i="6"/>
  <c r="E5" i="6" l="1"/>
  <c r="E11" i="6"/>
  <c r="E17" i="6" l="1"/>
  <c r="E20" i="6" s="1"/>
  <c r="E26" i="6" s="1"/>
  <c r="E34" i="6" l="1"/>
  <c r="E39" i="6" s="1"/>
  <c r="E43" i="6"/>
  <c r="E50" i="6" s="1"/>
  <c r="E62" i="6" s="1"/>
  <c r="D41" i="6" l="1"/>
  <c r="C41" i="6"/>
  <c r="D44" i="6" l="1"/>
  <c r="D60" i="6"/>
  <c r="D5" i="6" l="1"/>
  <c r="D11" i="6" l="1"/>
  <c r="D17" i="6" s="1"/>
  <c r="D20" i="6" s="1"/>
  <c r="D26" i="6" s="1"/>
  <c r="D34" i="6" l="1"/>
  <c r="D43" i="6"/>
  <c r="D50" i="6" s="1"/>
  <c r="D62" i="6" s="1"/>
  <c r="D39" i="6" l="1"/>
  <c r="C44" i="6"/>
  <c r="B41" i="6" l="1"/>
  <c r="B60" i="6" l="1"/>
  <c r="B5" i="6"/>
  <c r="B11" i="6"/>
  <c r="B17" i="6" l="1"/>
  <c r="B20" i="6" l="1"/>
  <c r="B26" i="6" s="1"/>
  <c r="B34" i="6" l="1"/>
  <c r="B39" i="6" s="1"/>
  <c r="B43" i="6"/>
  <c r="B50" i="6" s="1"/>
  <c r="B62" i="6" s="1"/>
  <c r="C60" i="6" l="1"/>
  <c r="C11" i="6"/>
  <c r="C5" i="6" l="1"/>
  <c r="C17" i="6" l="1"/>
  <c r="C20" i="6" l="1"/>
  <c r="C26" i="6" l="1"/>
  <c r="C43" i="6" l="1"/>
  <c r="C34" i="6"/>
  <c r="C39" i="6" l="1"/>
  <c r="C50" i="6"/>
  <c r="C62" i="6" l="1"/>
  <c r="C64" i="6" s="1"/>
  <c r="D63" i="6" s="1"/>
  <c r="D64" i="6" s="1"/>
  <c r="E6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Heinonen Juha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Heinonen Juha:</t>
        </r>
        <r>
          <rPr>
            <sz val="9"/>
            <color indexed="81"/>
            <rFont val="Tahoma"/>
            <family val="2"/>
          </rPr>
          <t xml:space="preserve">
esim. Raisiolle vuokratun auton myyntivoitto</t>
        </r>
      </text>
    </comment>
    <comment ref="F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HL: kertakorvaus sähköstä</t>
        </r>
      </text>
    </comment>
    <comment ref="C4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Heinonen Juha:</t>
        </r>
        <r>
          <rPr>
            <sz val="9"/>
            <color indexed="81"/>
            <rFont val="Tahoma"/>
            <family val="2"/>
          </rPr>
          <t xml:space="preserve">
virallisessa tilinpäätöksessä summa esiintyy rivillä "investoinnit muihin sijoituksiin ja luovutusvoitot".</t>
        </r>
      </text>
    </comment>
  </commentList>
</comments>
</file>

<file path=xl/sharedStrings.xml><?xml version="1.0" encoding="utf-8"?>
<sst xmlns="http://schemas.openxmlformats.org/spreadsheetml/2006/main" count="77" uniqueCount="72">
  <si>
    <t>Myyntituotot</t>
  </si>
  <si>
    <t>Maksutuotot</t>
  </si>
  <si>
    <t>Tuet ja avustukset</t>
  </si>
  <si>
    <t>Muut tuotot</t>
  </si>
  <si>
    <t>VALM. OMAAN KÄYTTÖÖN</t>
  </si>
  <si>
    <t>Henkilöstökulut</t>
  </si>
  <si>
    <t>Palvelujen ostot</t>
  </si>
  <si>
    <t>Aineet, tarvikkeet</t>
  </si>
  <si>
    <t>Avustukset</t>
  </si>
  <si>
    <t>Muut kulut</t>
  </si>
  <si>
    <t>VEROTULOT</t>
  </si>
  <si>
    <t>VALTIONOSUUDET</t>
  </si>
  <si>
    <t>KÄYTTÖKATE</t>
  </si>
  <si>
    <t>RAHOITUSERÄT</t>
  </si>
  <si>
    <t>Korkotuotot</t>
  </si>
  <si>
    <t>Muut rahoitustuotot</t>
  </si>
  <si>
    <t>Korkokulut</t>
  </si>
  <si>
    <t>Muut rahoituskulut</t>
  </si>
  <si>
    <t>VUOSIKATE</t>
  </si>
  <si>
    <t>POISTOT JA ARVONALENTUMISET</t>
  </si>
  <si>
    <t>Suunnitelmapoistot</t>
  </si>
  <si>
    <t>Kertaluonteiset poistot</t>
  </si>
  <si>
    <t>Arvonalentumiset</t>
  </si>
  <si>
    <t>SATUNNAISET ERÄT</t>
  </si>
  <si>
    <t>Satunnaiset tuotot</t>
  </si>
  <si>
    <t>Satunnaiset kulut</t>
  </si>
  <si>
    <t>TILIKAUDEN TULOS</t>
  </si>
  <si>
    <t>POISTOERO LIS-/VÄH+</t>
  </si>
  <si>
    <t>VARAUKSET LIS-/VÄH+</t>
  </si>
  <si>
    <t>RAHASTOT LIS-/VÄH+</t>
  </si>
  <si>
    <t>TILIK. YLI-/ALIJÄÄMÄ</t>
  </si>
  <si>
    <t>Vuosikate</t>
  </si>
  <si>
    <t>Satunnaiset erät</t>
  </si>
  <si>
    <t>Tulorah. korjauserät</t>
  </si>
  <si>
    <t>Toiminnan rahavirta</t>
  </si>
  <si>
    <t>Investointien rahavirta</t>
  </si>
  <si>
    <t>Investointimenot</t>
  </si>
  <si>
    <t>Rahoitusosuudet inv.menoihin</t>
  </si>
  <si>
    <t>Rahoituksen rahavirta</t>
  </si>
  <si>
    <t>Antolainauksen muutokset</t>
  </si>
  <si>
    <t>Oman pääoman muutokset</t>
  </si>
  <si>
    <t>Muut maksuvalmiuden muutokset</t>
  </si>
  <si>
    <t>Rahavarojen muutos</t>
  </si>
  <si>
    <t>TOIMINTAKATE</t>
  </si>
  <si>
    <t>RAHOITUSLASKELMA</t>
  </si>
  <si>
    <r>
      <t>TULOSLASKELMA,</t>
    </r>
    <r>
      <rPr>
        <sz val="8"/>
        <rFont val="Arial"/>
        <family val="2"/>
      </rPr>
      <t xml:space="preserve"> kaikki yhteensä</t>
    </r>
    <r>
      <rPr>
        <sz val="8"/>
        <rFont val="MS Serif"/>
        <family val="1"/>
      </rPr>
      <t xml:space="preserve"> </t>
    </r>
  </si>
  <si>
    <t>Toiminnan ja invest. rahavirta</t>
  </si>
  <si>
    <t>Omaisuuden myynti (kp-arvot)</t>
  </si>
  <si>
    <t>TOIMINTATUOTOT</t>
  </si>
  <si>
    <t>TOIMINTAKULUT</t>
  </si>
  <si>
    <t>Antolainasaamisten lisäys</t>
  </si>
  <si>
    <t>Antolainasaamisten vähennys</t>
  </si>
  <si>
    <t>TP15</t>
  </si>
  <si>
    <t>TP16</t>
  </si>
  <si>
    <t>Ottolainauksen lisäys +</t>
  </si>
  <si>
    <t>Ottolainojen vähennys -</t>
  </si>
  <si>
    <t>KUNTAYHTYMÄ RAISION-NAANTALIN VESILAITOS</t>
  </si>
  <si>
    <t>TP17</t>
  </si>
  <si>
    <t>Rahavarat kauden alussa</t>
  </si>
  <si>
    <t>Rahavarat kauden lopussa</t>
  </si>
  <si>
    <t>TP18</t>
  </si>
  <si>
    <t xml:space="preserve">  </t>
  </si>
  <si>
    <t>TP19</t>
  </si>
  <si>
    <t>TP20</t>
  </si>
  <si>
    <t>Tuloverot</t>
  </si>
  <si>
    <t>TA2023</t>
  </si>
  <si>
    <t>TP21</t>
  </si>
  <si>
    <t>TP2022</t>
  </si>
  <si>
    <t>TA2025</t>
  </si>
  <si>
    <t>TP2023</t>
  </si>
  <si>
    <t>TA2026</t>
  </si>
  <si>
    <t>TP2024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</si>
</sst>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,"/>
  </numFmts>
  <fonts count="13" x14ac:knownFonts="1">
    <font>
      <sz val="1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MS Serif"/>
      <family val="1"/>
    </font>
    <font>
      <strike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b/>
      <sz val="16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0" applyFont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1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3" fontId="3" fillId="0" borderId="0" xfId="0" applyNumberFormat="1" applyFont="1"/>
    <xf numFmtId="0" fontId="3" fillId="0" borderId="0" xfId="0" applyFont="1" applyAlignment="1">
      <alignment horizontal="left" wrapText="1"/>
    </xf>
    <xf numFmtId="165" fontId="3" fillId="0" borderId="0" xfId="0" applyNumberFormat="1" applyFont="1"/>
    <xf numFmtId="3" fontId="3" fillId="3" borderId="0" xfId="0" applyNumberFormat="1" applyFont="1" applyFill="1"/>
    <xf numFmtId="0" fontId="3" fillId="3" borderId="0" xfId="0" applyFont="1" applyFill="1"/>
    <xf numFmtId="0" fontId="3" fillId="0" borderId="0" xfId="0" applyFont="1" applyAlignment="1">
      <alignment horizontal="right"/>
    </xf>
    <xf numFmtId="0" fontId="3" fillId="0" borderId="0" xfId="0" quotePrefix="1" applyFont="1"/>
    <xf numFmtId="3" fontId="7" fillId="0" borderId="1" xfId="0" applyNumberFormat="1" applyFont="1" applyBorder="1"/>
    <xf numFmtId="3" fontId="8" fillId="0" borderId="0" xfId="0" applyNumberFormat="1" applyFo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9" fillId="0" borderId="0" xfId="0" applyNumberFormat="1" applyFont="1"/>
    <xf numFmtId="3" fontId="8" fillId="0" borderId="0" xfId="0" applyNumberFormat="1" applyFont="1" applyAlignment="1">
      <alignment horizontal="right"/>
    </xf>
    <xf numFmtId="3" fontId="0" fillId="0" borderId="0" xfId="0" applyNumberFormat="1"/>
    <xf numFmtId="3" fontId="7" fillId="0" borderId="0" xfId="0" applyNumberFormat="1" applyFont="1"/>
    <xf numFmtId="0" fontId="7" fillId="0" borderId="0" xfId="0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7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vertical="center"/>
    </xf>
    <xf numFmtId="3" fontId="3" fillId="0" borderId="2" xfId="0" applyNumberFormat="1" applyFont="1" applyBorder="1"/>
    <xf numFmtId="3" fontId="1" fillId="0" borderId="2" xfId="0" applyNumberFormat="1" applyFont="1" applyBorder="1"/>
    <xf numFmtId="3" fontId="1" fillId="3" borderId="2" xfId="0" applyNumberFormat="1" applyFont="1" applyFill="1" applyBorder="1" applyAlignment="1">
      <alignment vertical="center"/>
    </xf>
    <xf numFmtId="3" fontId="3" fillId="3" borderId="2" xfId="0" applyNumberFormat="1" applyFont="1" applyFill="1" applyBorder="1"/>
    <xf numFmtId="4" fontId="1" fillId="3" borderId="2" xfId="0" applyNumberFormat="1" applyFont="1" applyFill="1" applyBorder="1" applyAlignment="1">
      <alignment vertical="center"/>
    </xf>
    <xf numFmtId="4" fontId="3" fillId="0" borderId="2" xfId="0" applyNumberFormat="1" applyFont="1" applyBorder="1"/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/>
    <xf numFmtId="4" fontId="3" fillId="3" borderId="2" xfId="0" applyNumberFormat="1" applyFont="1" applyFill="1" applyBorder="1"/>
    <xf numFmtId="0" fontId="10" fillId="0" borderId="0" xfId="0" applyFont="1" applyAlignment="1">
      <alignment wrapText="1"/>
    </xf>
    <xf numFmtId="3" fontId="10" fillId="0" borderId="0" xfId="0" applyNumberFormat="1" applyFont="1" applyAlignment="1">
      <alignment horizontal="center"/>
    </xf>
    <xf numFmtId="4" fontId="3" fillId="0" borderId="1" xfId="0" applyNumberFormat="1" applyFont="1" applyBorder="1"/>
    <xf numFmtId="4" fontId="1" fillId="3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Border="1"/>
    <xf numFmtId="4" fontId="3" fillId="3" borderId="1" xfId="0" applyNumberFormat="1" applyFont="1" applyFill="1" applyBorder="1"/>
    <xf numFmtId="4" fontId="3" fillId="0" borderId="0" xfId="0" applyNumberFormat="1" applyFont="1"/>
    <xf numFmtId="4" fontId="7" fillId="0" borderId="2" xfId="0" applyNumberFormat="1" applyFont="1" applyBorder="1"/>
    <xf numFmtId="0" fontId="3" fillId="0" borderId="2" xfId="0" applyFont="1" applyBorder="1"/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/>
    <xf numFmtId="3" fontId="1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/>
    <xf numFmtId="0" fontId="3" fillId="0" borderId="1" xfId="0" applyFont="1" applyBorder="1"/>
    <xf numFmtId="3" fontId="3" fillId="0" borderId="3" xfId="0" applyNumberFormat="1" applyFont="1" applyBorder="1"/>
    <xf numFmtId="3" fontId="1" fillId="4" borderId="5" xfId="0" applyNumberFormat="1" applyFont="1" applyFill="1" applyBorder="1" applyAlignment="1">
      <alignment wrapText="1"/>
    </xf>
    <xf numFmtId="4" fontId="1" fillId="4" borderId="4" xfId="0" applyNumberFormat="1" applyFont="1" applyFill="1" applyBorder="1" applyAlignment="1">
      <alignment horizontal="center" vertical="center" wrapText="1"/>
    </xf>
    <xf numFmtId="3" fontId="1" fillId="4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14" fontId="3" fillId="0" borderId="0" xfId="0" applyNumberFormat="1" applyFont="1"/>
    <xf numFmtId="4" fontId="3" fillId="4" borderId="5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vertical="center"/>
    </xf>
    <xf numFmtId="0" fontId="3" fillId="0" borderId="7" xfId="0" applyFont="1" applyBorder="1" applyAlignment="1">
      <alignment wrapText="1"/>
    </xf>
    <xf numFmtId="4" fontId="3" fillId="0" borderId="7" xfId="0" applyNumberFormat="1" applyFont="1" applyBorder="1"/>
    <xf numFmtId="4" fontId="3" fillId="0" borderId="8" xfId="0" applyNumberFormat="1" applyFont="1" applyBorder="1"/>
    <xf numFmtId="0" fontId="1" fillId="5" borderId="10" xfId="0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/>
    <xf numFmtId="0" fontId="3" fillId="0" borderId="3" xfId="0" applyFont="1" applyBorder="1"/>
    <xf numFmtId="0" fontId="3" fillId="0" borderId="10" xfId="0" applyFont="1" applyBorder="1"/>
    <xf numFmtId="0" fontId="1" fillId="5" borderId="9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3">
    <cellStyle name="Euro" xfId="1" xr:uid="{00000000-0005-0000-0000-000000000000}"/>
    <cellStyle name="Normaali" xfId="0" builtinId="0"/>
    <cellStyle name="Normaali 2" xfId="2" xr:uid="{00000000-0005-0000-0000-000002000000}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1</xdr:col>
      <xdr:colOff>0</xdr:colOff>
      <xdr:row>40</xdr:row>
      <xdr:rowOff>0</xdr:rowOff>
    </xdr:to>
    <xdr:sp macro="" textlink="">
      <xdr:nvSpPr>
        <xdr:cNvPr id="2" name="AutoShape 8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1447800" y="68103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showGridLines="0" tabSelected="1" zoomScale="150" zoomScaleNormal="150" workbookViewId="0">
      <pane ySplit="3" topLeftCell="A32" activePane="bottomLeft" state="frozen"/>
      <selection pane="bottomLeft" activeCell="M35" sqref="M35"/>
    </sheetView>
  </sheetViews>
  <sheetFormatPr defaultColWidth="9.140625" defaultRowHeight="11.25" x14ac:dyDescent="0.2"/>
  <cols>
    <col min="1" max="1" width="29.85546875" style="8" customWidth="1"/>
    <col min="2" max="2" width="11.85546875" style="4" customWidth="1"/>
    <col min="3" max="3" width="11.140625" style="24" bestFit="1" customWidth="1"/>
    <col min="4" max="4" width="10.140625" style="4" customWidth="1"/>
    <col min="5" max="5" width="11" style="4" customWidth="1"/>
    <col min="6" max="6" width="11.140625" style="4" customWidth="1"/>
    <col min="7" max="7" width="11.85546875" style="4" customWidth="1"/>
    <col min="8" max="10" width="11.7109375" style="4" customWidth="1"/>
    <col min="11" max="11" width="12.85546875" style="4" customWidth="1"/>
    <col min="12" max="12" width="11" style="4" customWidth="1"/>
    <col min="13" max="16384" width="9.140625" style="4"/>
  </cols>
  <sheetData>
    <row r="1" spans="1:13" ht="49.5" customHeight="1" x14ac:dyDescent="0.3">
      <c r="A1" s="79" t="s">
        <v>56</v>
      </c>
      <c r="B1" s="79"/>
      <c r="C1" s="79"/>
      <c r="D1" s="79"/>
      <c r="E1" s="79"/>
    </row>
    <row r="2" spans="1:13" ht="21" customHeight="1" x14ac:dyDescent="0.2">
      <c r="A2" s="59" t="s">
        <v>45</v>
      </c>
      <c r="B2" s="60"/>
      <c r="C2" s="4"/>
      <c r="D2" s="61"/>
      <c r="H2" s="65"/>
    </row>
    <row r="3" spans="1:13" ht="15.75" customHeight="1" thickBot="1" x14ac:dyDescent="0.25">
      <c r="A3" s="62"/>
      <c r="B3" s="63" t="s">
        <v>52</v>
      </c>
      <c r="C3" s="64" t="s">
        <v>53</v>
      </c>
      <c r="D3" s="63" t="s">
        <v>57</v>
      </c>
      <c r="E3" s="63" t="s">
        <v>60</v>
      </c>
      <c r="F3" s="63" t="s">
        <v>62</v>
      </c>
      <c r="G3" s="64" t="s">
        <v>63</v>
      </c>
      <c r="H3" s="66" t="s">
        <v>66</v>
      </c>
      <c r="I3" s="66" t="s">
        <v>67</v>
      </c>
      <c r="J3" s="66" t="s">
        <v>69</v>
      </c>
      <c r="K3" s="66" t="s">
        <v>71</v>
      </c>
      <c r="L3" s="80" t="s">
        <v>68</v>
      </c>
      <c r="M3" s="72" t="s">
        <v>70</v>
      </c>
    </row>
    <row r="4" spans="1:13" ht="12.75" customHeight="1" x14ac:dyDescent="0.2">
      <c r="A4" s="1"/>
      <c r="B4" s="28"/>
      <c r="C4" s="26"/>
      <c r="D4" s="28"/>
      <c r="E4" s="28"/>
      <c r="F4" s="28"/>
      <c r="G4" s="26"/>
      <c r="H4" s="48"/>
      <c r="I4" s="48"/>
      <c r="J4" s="48"/>
      <c r="K4" s="48"/>
      <c r="L4" s="76"/>
      <c r="M4" s="48"/>
    </row>
    <row r="5" spans="1:13" s="6" customFormat="1" ht="15" customHeight="1" x14ac:dyDescent="0.2">
      <c r="A5" s="2" t="s">
        <v>48</v>
      </c>
      <c r="B5" s="34">
        <f t="shared" ref="B5:I5" si="0">SUM(B6:B9)</f>
        <v>399856.91</v>
      </c>
      <c r="C5" s="43">
        <f t="shared" si="0"/>
        <v>436312.95</v>
      </c>
      <c r="D5" s="36">
        <f t="shared" si="0"/>
        <v>497274.48</v>
      </c>
      <c r="E5" s="36">
        <f t="shared" si="0"/>
        <v>487266.72</v>
      </c>
      <c r="F5" s="29">
        <f t="shared" si="0"/>
        <v>414624</v>
      </c>
      <c r="G5" s="49">
        <f t="shared" si="0"/>
        <v>50486</v>
      </c>
      <c r="H5" s="29">
        <f t="shared" si="0"/>
        <v>175252</v>
      </c>
      <c r="I5" s="29">
        <f t="shared" si="0"/>
        <v>166003</v>
      </c>
      <c r="J5" s="29">
        <f>SUM(J6:J10)</f>
        <v>161759.20000000001</v>
      </c>
      <c r="K5" s="29">
        <f>SUM(K6:K10)</f>
        <v>159586.10999999999</v>
      </c>
      <c r="L5" s="29">
        <f>SUM(L6:L10)</f>
        <v>234500</v>
      </c>
      <c r="M5" s="29">
        <f>SUM(M6:M10)</f>
        <v>320000</v>
      </c>
    </row>
    <row r="6" spans="1:13" ht="12.75" customHeight="1" x14ac:dyDescent="0.2">
      <c r="A6" s="3" t="s">
        <v>0</v>
      </c>
      <c r="B6" s="35">
        <v>399631.1</v>
      </c>
      <c r="C6" s="41">
        <v>417838.19</v>
      </c>
      <c r="D6" s="35">
        <v>497274.48</v>
      </c>
      <c r="E6" s="35">
        <v>487266.72</v>
      </c>
      <c r="F6" s="30">
        <v>338760</v>
      </c>
      <c r="G6" s="25">
        <v>50486</v>
      </c>
      <c r="H6" s="30">
        <v>175252</v>
      </c>
      <c r="I6" s="30">
        <v>165600</v>
      </c>
      <c r="J6" s="30">
        <v>161759.20000000001</v>
      </c>
      <c r="K6" s="30">
        <v>159586.10999999999</v>
      </c>
      <c r="L6" s="48">
        <v>234500</v>
      </c>
      <c r="M6" s="48">
        <v>320000</v>
      </c>
    </row>
    <row r="7" spans="1:13" ht="12.75" customHeight="1" x14ac:dyDescent="0.2">
      <c r="A7" s="3" t="s">
        <v>1</v>
      </c>
      <c r="B7" s="35"/>
      <c r="C7" s="41"/>
      <c r="D7" s="35"/>
      <c r="E7" s="35"/>
      <c r="F7" s="30"/>
      <c r="G7" s="25"/>
      <c r="H7" s="30"/>
      <c r="I7" s="30"/>
      <c r="J7" s="30"/>
      <c r="K7" s="30"/>
      <c r="L7" s="48"/>
      <c r="M7" s="48"/>
    </row>
    <row r="8" spans="1:13" ht="12.75" customHeight="1" x14ac:dyDescent="0.2">
      <c r="A8" s="3" t="s">
        <v>2</v>
      </c>
      <c r="B8" s="35"/>
      <c r="C8" s="41"/>
      <c r="D8" s="35"/>
      <c r="E8" s="35"/>
      <c r="F8" s="30"/>
      <c r="G8" s="25"/>
      <c r="H8" s="30"/>
      <c r="I8" s="30"/>
      <c r="J8" s="30"/>
      <c r="K8" s="30"/>
      <c r="L8" s="48"/>
      <c r="M8" s="48"/>
    </row>
    <row r="9" spans="1:13" ht="12.75" customHeight="1" x14ac:dyDescent="0.2">
      <c r="A9" s="3" t="s">
        <v>3</v>
      </c>
      <c r="B9" s="35">
        <v>225.81</v>
      </c>
      <c r="C9" s="41">
        <v>18474.759999999998</v>
      </c>
      <c r="D9" s="35"/>
      <c r="E9" s="35"/>
      <c r="F9" s="30">
        <v>75864</v>
      </c>
      <c r="G9" s="25"/>
      <c r="H9" s="30"/>
      <c r="I9" s="30">
        <v>403</v>
      </c>
      <c r="J9" s="30"/>
      <c r="K9" s="30"/>
      <c r="L9" s="48"/>
      <c r="M9" s="48"/>
    </row>
    <row r="10" spans="1:13" s="6" customFormat="1" ht="15" customHeight="1" x14ac:dyDescent="0.2">
      <c r="A10" s="5" t="s">
        <v>4</v>
      </c>
      <c r="B10" s="34"/>
      <c r="C10" s="43"/>
      <c r="D10" s="36"/>
      <c r="E10" s="36"/>
      <c r="F10" s="29"/>
      <c r="G10" s="49"/>
      <c r="H10" s="68"/>
      <c r="I10" s="68"/>
      <c r="J10" s="68"/>
      <c r="K10" s="68"/>
      <c r="L10" s="73"/>
      <c r="M10" s="73"/>
    </row>
    <row r="11" spans="1:13" s="6" customFormat="1" ht="15" customHeight="1" x14ac:dyDescent="0.2">
      <c r="A11" s="2" t="s">
        <v>49</v>
      </c>
      <c r="B11" s="34">
        <f t="shared" ref="B11:I11" si="1">SUM(B12:B16)</f>
        <v>268074.82999999996</v>
      </c>
      <c r="C11" s="43">
        <f t="shared" si="1"/>
        <v>233253.44</v>
      </c>
      <c r="D11" s="36">
        <f t="shared" si="1"/>
        <v>185466.06</v>
      </c>
      <c r="E11" s="36">
        <f t="shared" si="1"/>
        <v>175499.65</v>
      </c>
      <c r="F11" s="29">
        <f t="shared" si="1"/>
        <v>162321</v>
      </c>
      <c r="G11" s="49">
        <f t="shared" si="1"/>
        <v>179612</v>
      </c>
      <c r="H11" s="29">
        <f t="shared" si="1"/>
        <v>101727</v>
      </c>
      <c r="I11" s="29">
        <f t="shared" si="1"/>
        <v>114889</v>
      </c>
      <c r="J11" s="29">
        <f>SUM(J12:J16)</f>
        <v>70908.44</v>
      </c>
      <c r="K11" s="29">
        <f>SUM(K12:K16)</f>
        <v>138098.18</v>
      </c>
      <c r="L11" s="29">
        <f>SUM(L12:L16)</f>
        <v>205595</v>
      </c>
      <c r="M11" s="29">
        <f>SUM(M12:M16)</f>
        <v>314950</v>
      </c>
    </row>
    <row r="12" spans="1:13" x14ac:dyDescent="0.2">
      <c r="A12" s="3" t="s">
        <v>5</v>
      </c>
      <c r="B12" s="35">
        <v>81199.509999999995</v>
      </c>
      <c r="C12" s="41">
        <v>68103.22</v>
      </c>
      <c r="D12" s="35">
        <v>40680.519999999997</v>
      </c>
      <c r="E12" s="35">
        <v>43498.36</v>
      </c>
      <c r="F12" s="30">
        <v>48184</v>
      </c>
      <c r="G12" s="25">
        <v>44155</v>
      </c>
      <c r="H12" s="30">
        <v>44587</v>
      </c>
      <c r="I12" s="30">
        <v>48237</v>
      </c>
      <c r="J12" s="30">
        <v>9408.2199999999993</v>
      </c>
      <c r="K12" s="30">
        <v>12122.25</v>
      </c>
      <c r="L12" s="48">
        <v>14195</v>
      </c>
      <c r="M12" s="48">
        <v>18700</v>
      </c>
    </row>
    <row r="13" spans="1:13" x14ac:dyDescent="0.2">
      <c r="A13" s="3" t="s">
        <v>6</v>
      </c>
      <c r="B13" s="35">
        <v>142968.95999999999</v>
      </c>
      <c r="C13" s="41">
        <v>116498.84</v>
      </c>
      <c r="D13" s="35">
        <v>96613.39</v>
      </c>
      <c r="E13" s="35">
        <v>79592.12</v>
      </c>
      <c r="F13" s="30">
        <v>84194</v>
      </c>
      <c r="G13" s="25">
        <v>117251</v>
      </c>
      <c r="H13" s="30">
        <v>39630</v>
      </c>
      <c r="I13" s="30">
        <v>49762</v>
      </c>
      <c r="J13" s="30">
        <v>46915.39</v>
      </c>
      <c r="K13" s="30">
        <v>112554.1</v>
      </c>
      <c r="L13" s="48">
        <v>160700</v>
      </c>
      <c r="M13" s="48">
        <v>275550</v>
      </c>
    </row>
    <row r="14" spans="1:13" x14ac:dyDescent="0.2">
      <c r="A14" s="3" t="s">
        <v>7</v>
      </c>
      <c r="B14" s="35">
        <v>42702.51</v>
      </c>
      <c r="C14" s="41">
        <v>47404.4</v>
      </c>
      <c r="D14" s="35">
        <v>47418.37</v>
      </c>
      <c r="E14" s="35">
        <v>51655.05</v>
      </c>
      <c r="F14" s="30">
        <v>28084</v>
      </c>
      <c r="G14" s="25">
        <v>18206</v>
      </c>
      <c r="H14" s="30">
        <v>17510</v>
      </c>
      <c r="I14" s="30">
        <v>16890</v>
      </c>
      <c r="J14" s="30">
        <v>14584.83</v>
      </c>
      <c r="K14" s="30">
        <v>13421.83</v>
      </c>
      <c r="L14" s="48">
        <v>30200</v>
      </c>
      <c r="M14" s="48">
        <v>20200</v>
      </c>
    </row>
    <row r="15" spans="1:13" x14ac:dyDescent="0.2">
      <c r="A15" s="3" t="s">
        <v>8</v>
      </c>
      <c r="B15" s="35"/>
      <c r="C15" s="41"/>
      <c r="D15" s="35"/>
      <c r="E15" s="35"/>
      <c r="F15" s="30"/>
      <c r="G15" s="25"/>
      <c r="H15" s="30"/>
      <c r="I15" s="30"/>
      <c r="J15" s="30"/>
      <c r="K15" s="30"/>
      <c r="L15" s="48"/>
      <c r="M15" s="48"/>
    </row>
    <row r="16" spans="1:13" x14ac:dyDescent="0.2">
      <c r="A16" s="3" t="s">
        <v>9</v>
      </c>
      <c r="B16" s="35">
        <v>1203.8499999999999</v>
      </c>
      <c r="C16" s="41">
        <v>1246.98</v>
      </c>
      <c r="D16" s="35">
        <v>753.78</v>
      </c>
      <c r="E16" s="35">
        <v>754.12</v>
      </c>
      <c r="F16" s="30">
        <v>1859</v>
      </c>
      <c r="G16" s="25">
        <v>0</v>
      </c>
      <c r="H16" s="30">
        <v>0</v>
      </c>
      <c r="I16" s="30">
        <v>0</v>
      </c>
      <c r="J16" s="30"/>
      <c r="K16" s="30"/>
      <c r="L16" s="48">
        <v>500</v>
      </c>
      <c r="M16" s="48">
        <v>500</v>
      </c>
    </row>
    <row r="17" spans="1:15" s="6" customFormat="1" ht="15" customHeight="1" x14ac:dyDescent="0.2">
      <c r="A17" s="5" t="s">
        <v>43</v>
      </c>
      <c r="B17" s="36">
        <f t="shared" ref="B17:I17" si="2">+B5+B10-B11</f>
        <v>131782.08000000002</v>
      </c>
      <c r="C17" s="43">
        <f t="shared" si="2"/>
        <v>203059.51</v>
      </c>
      <c r="D17" s="36">
        <f t="shared" si="2"/>
        <v>311808.42</v>
      </c>
      <c r="E17" s="36">
        <f t="shared" si="2"/>
        <v>311767.06999999995</v>
      </c>
      <c r="F17" s="29">
        <f t="shared" si="2"/>
        <v>252303</v>
      </c>
      <c r="G17" s="49">
        <f t="shared" si="2"/>
        <v>-129126</v>
      </c>
      <c r="H17" s="29">
        <f t="shared" si="2"/>
        <v>73525</v>
      </c>
      <c r="I17" s="29">
        <f t="shared" si="2"/>
        <v>51114</v>
      </c>
      <c r="J17" s="29">
        <f>J5-J11</f>
        <v>90850.760000000009</v>
      </c>
      <c r="K17" s="29">
        <f>K5-K11</f>
        <v>21487.929999999993</v>
      </c>
      <c r="L17" s="29">
        <f>L5-L11</f>
        <v>28905</v>
      </c>
      <c r="M17" s="29">
        <f>M5-M11</f>
        <v>5050</v>
      </c>
    </row>
    <row r="18" spans="1:15" ht="16.5" customHeight="1" x14ac:dyDescent="0.2">
      <c r="A18" s="7" t="s">
        <v>10</v>
      </c>
      <c r="B18" s="37"/>
      <c r="C18" s="44"/>
      <c r="D18" s="37"/>
      <c r="E18" s="37"/>
      <c r="F18" s="31"/>
      <c r="G18" s="50"/>
      <c r="H18" s="30"/>
      <c r="I18" s="30"/>
      <c r="J18" s="30"/>
      <c r="K18" s="30"/>
      <c r="L18" s="48"/>
      <c r="M18" s="48"/>
    </row>
    <row r="19" spans="1:15" x14ac:dyDescent="0.2">
      <c r="A19" s="7" t="s">
        <v>11</v>
      </c>
      <c r="B19" s="37"/>
      <c r="C19" s="44"/>
      <c r="D19" s="37"/>
      <c r="E19" s="37"/>
      <c r="F19" s="31"/>
      <c r="G19" s="50"/>
      <c r="H19" s="30"/>
      <c r="I19" s="30"/>
      <c r="J19" s="30"/>
      <c r="K19" s="30"/>
      <c r="L19" s="48"/>
      <c r="M19" s="48"/>
    </row>
    <row r="20" spans="1:15" s="6" customFormat="1" ht="15" customHeight="1" x14ac:dyDescent="0.2">
      <c r="A20" s="5" t="s">
        <v>12</v>
      </c>
      <c r="B20" s="36">
        <f t="shared" ref="B20:C20" si="3">SUM(B17:B19)</f>
        <v>131782.08000000002</v>
      </c>
      <c r="C20" s="43">
        <f t="shared" si="3"/>
        <v>203059.51</v>
      </c>
      <c r="D20" s="36">
        <f t="shared" ref="D20:E20" si="4">SUM(D17:D19)</f>
        <v>311808.42</v>
      </c>
      <c r="E20" s="36">
        <f t="shared" si="4"/>
        <v>311767.06999999995</v>
      </c>
      <c r="F20" s="29">
        <f t="shared" ref="F20" si="5">SUM(F17:F19)</f>
        <v>252303</v>
      </c>
      <c r="G20" s="49">
        <f t="shared" ref="G20:I20" si="6">SUM(G17:G19)</f>
        <v>-129126</v>
      </c>
      <c r="H20" s="29">
        <f t="shared" si="6"/>
        <v>73525</v>
      </c>
      <c r="I20" s="29">
        <f t="shared" si="6"/>
        <v>51114</v>
      </c>
      <c r="J20" s="29">
        <f>J17</f>
        <v>90850.760000000009</v>
      </c>
      <c r="K20" s="29">
        <f>K17</f>
        <v>21487.929999999993</v>
      </c>
      <c r="L20" s="29">
        <f>L17</f>
        <v>28905</v>
      </c>
      <c r="M20" s="29">
        <f>M17</f>
        <v>5050</v>
      </c>
    </row>
    <row r="21" spans="1:15" ht="14.25" customHeight="1" x14ac:dyDescent="0.2">
      <c r="A21" s="8" t="s">
        <v>13</v>
      </c>
      <c r="B21" s="35"/>
      <c r="C21" s="41"/>
      <c r="D21" s="35"/>
      <c r="E21" s="35"/>
      <c r="F21" s="30"/>
      <c r="G21" s="25"/>
      <c r="H21" s="30"/>
      <c r="I21" s="30"/>
      <c r="J21" s="30"/>
      <c r="K21" s="30"/>
      <c r="L21" s="48"/>
      <c r="M21" s="48"/>
      <c r="O21" s="4" t="s">
        <v>61</v>
      </c>
    </row>
    <row r="22" spans="1:15" x14ac:dyDescent="0.2">
      <c r="A22" s="3" t="s">
        <v>14</v>
      </c>
      <c r="B22" s="35">
        <v>9.7200000000000006</v>
      </c>
      <c r="C22" s="41">
        <v>43.98</v>
      </c>
      <c r="D22" s="35">
        <v>49.5</v>
      </c>
      <c r="E22" s="35">
        <v>1.93</v>
      </c>
      <c r="F22" s="30"/>
      <c r="G22" s="25"/>
      <c r="H22" s="30"/>
      <c r="I22" s="30">
        <v>18</v>
      </c>
      <c r="J22" s="30"/>
      <c r="K22" s="30"/>
      <c r="L22" s="48"/>
      <c r="M22" s="48"/>
    </row>
    <row r="23" spans="1:15" x14ac:dyDescent="0.2">
      <c r="A23" s="3" t="s">
        <v>15</v>
      </c>
      <c r="B23" s="35">
        <v>756</v>
      </c>
      <c r="C23" s="41"/>
      <c r="D23" s="35"/>
      <c r="E23" s="35"/>
      <c r="F23" s="30">
        <v>9</v>
      </c>
      <c r="G23" s="25">
        <v>227</v>
      </c>
      <c r="H23" s="30">
        <v>21</v>
      </c>
      <c r="I23" s="30">
        <v>0</v>
      </c>
      <c r="J23" s="30">
        <v>30.05</v>
      </c>
      <c r="K23" s="30">
        <v>225.5</v>
      </c>
      <c r="L23" s="48">
        <v>20</v>
      </c>
      <c r="M23" s="48">
        <v>20</v>
      </c>
    </row>
    <row r="24" spans="1:15" x14ac:dyDescent="0.2">
      <c r="A24" s="3" t="s">
        <v>16</v>
      </c>
      <c r="B24" s="35">
        <v>-1817.75</v>
      </c>
      <c r="C24" s="41">
        <v>-114.57</v>
      </c>
      <c r="D24" s="35"/>
      <c r="E24" s="35"/>
      <c r="F24" s="30"/>
      <c r="G24" s="25"/>
      <c r="H24" s="30"/>
      <c r="I24" s="30"/>
      <c r="J24" s="30">
        <v>-18956.240000000002</v>
      </c>
      <c r="K24" s="30">
        <v>-18916.64</v>
      </c>
      <c r="L24" s="48">
        <v>-19097</v>
      </c>
      <c r="M24" s="48">
        <v>-19117</v>
      </c>
    </row>
    <row r="25" spans="1:15" ht="13.5" customHeight="1" x14ac:dyDescent="0.2">
      <c r="A25" s="3" t="s">
        <v>17</v>
      </c>
      <c r="B25" s="35">
        <v>-18917.62</v>
      </c>
      <c r="C25" s="41">
        <v>-19336.080000000002</v>
      </c>
      <c r="D25" s="35">
        <v>-19341.72</v>
      </c>
      <c r="E25" s="35">
        <v>-18917.28</v>
      </c>
      <c r="F25" s="30">
        <v>-18958</v>
      </c>
      <c r="G25" s="25">
        <v>-19570</v>
      </c>
      <c r="H25" s="30">
        <v>-18974</v>
      </c>
      <c r="I25" s="30">
        <v>-19931</v>
      </c>
      <c r="J25" s="30"/>
      <c r="K25" s="30"/>
      <c r="L25" s="48"/>
      <c r="M25" s="48"/>
    </row>
    <row r="26" spans="1:15" s="6" customFormat="1" ht="15" customHeight="1" x14ac:dyDescent="0.2">
      <c r="A26" s="5" t="s">
        <v>18</v>
      </c>
      <c r="B26" s="34">
        <f t="shared" ref="B26:C26" si="7">SUM(B20:B25)</f>
        <v>111812.43000000002</v>
      </c>
      <c r="C26" s="42">
        <f t="shared" si="7"/>
        <v>183652.84000000003</v>
      </c>
      <c r="D26" s="34">
        <f t="shared" ref="D26:E26" si="8">SUM(D20:D25)</f>
        <v>292516.19999999995</v>
      </c>
      <c r="E26" s="34">
        <f t="shared" si="8"/>
        <v>292851.71999999997</v>
      </c>
      <c r="F26" s="32">
        <f t="shared" ref="F26" si="9">SUM(F20:F25)</f>
        <v>233354</v>
      </c>
      <c r="G26" s="51">
        <f t="shared" ref="G26:I26" si="10">SUM(G20:G25)</f>
        <v>-148469</v>
      </c>
      <c r="H26" s="32">
        <f t="shared" si="10"/>
        <v>54572</v>
      </c>
      <c r="I26" s="32">
        <f t="shared" si="10"/>
        <v>31201</v>
      </c>
      <c r="J26" s="32">
        <f>SUM(J20:J25)</f>
        <v>71924.570000000007</v>
      </c>
      <c r="K26" s="32">
        <f>SUM(K20:K25)</f>
        <v>2796.7899999999936</v>
      </c>
      <c r="L26" s="32">
        <f>SUM(L20:L25)</f>
        <v>9828</v>
      </c>
      <c r="M26" s="32">
        <f>SUM(M20:M25)</f>
        <v>-14047</v>
      </c>
    </row>
    <row r="27" spans="1:15" ht="15.75" customHeight="1" x14ac:dyDescent="0.2">
      <c r="A27" s="4" t="s">
        <v>19</v>
      </c>
      <c r="B27" s="35"/>
      <c r="C27" s="41"/>
      <c r="D27" s="35"/>
      <c r="E27" s="35"/>
      <c r="F27" s="30"/>
      <c r="G27" s="25"/>
      <c r="H27" s="30"/>
      <c r="I27" s="30"/>
      <c r="J27" s="30"/>
      <c r="K27" s="30"/>
      <c r="L27" s="48"/>
      <c r="M27" s="48"/>
    </row>
    <row r="28" spans="1:15" ht="12.75" customHeight="1" x14ac:dyDescent="0.2">
      <c r="A28" s="3" t="s">
        <v>20</v>
      </c>
      <c r="B28" s="35">
        <v>-334086.8</v>
      </c>
      <c r="C28" s="41">
        <v>-364664.58</v>
      </c>
      <c r="D28" s="35">
        <v>-348795.46</v>
      </c>
      <c r="E28" s="35">
        <v>-333719.78999999998</v>
      </c>
      <c r="F28" s="30">
        <v>-253562</v>
      </c>
      <c r="G28" s="25">
        <v>-243247</v>
      </c>
      <c r="H28" s="30">
        <v>-186167</v>
      </c>
      <c r="I28" s="30">
        <v>-217323</v>
      </c>
      <c r="J28" s="30">
        <f>-204434.28</f>
        <v>-204434.28</v>
      </c>
      <c r="K28" s="30">
        <v>-193443.65</v>
      </c>
      <c r="L28" s="48">
        <v>-248000</v>
      </c>
      <c r="M28" s="48">
        <v>-248000</v>
      </c>
    </row>
    <row r="29" spans="1:15" ht="12.75" customHeight="1" x14ac:dyDescent="0.2">
      <c r="A29" s="3" t="s">
        <v>21</v>
      </c>
      <c r="B29" s="35"/>
      <c r="C29" s="41"/>
      <c r="D29" s="35"/>
      <c r="E29" s="35"/>
      <c r="F29" s="30"/>
      <c r="G29" s="25"/>
      <c r="H29" s="30"/>
      <c r="I29" s="30"/>
      <c r="J29" s="30"/>
      <c r="K29" s="30"/>
      <c r="L29" s="48"/>
      <c r="M29" s="48"/>
    </row>
    <row r="30" spans="1:15" ht="12.75" customHeight="1" x14ac:dyDescent="0.2">
      <c r="A30" s="3" t="s">
        <v>22</v>
      </c>
      <c r="B30" s="35"/>
      <c r="C30" s="41"/>
      <c r="D30" s="35"/>
      <c r="E30" s="35"/>
      <c r="F30" s="30"/>
      <c r="G30" s="25"/>
      <c r="H30" s="30"/>
      <c r="I30" s="30"/>
      <c r="J30" s="30"/>
      <c r="K30" s="30"/>
      <c r="L30" s="48"/>
      <c r="M30" s="48"/>
    </row>
    <row r="31" spans="1:15" ht="12.75" customHeight="1" x14ac:dyDescent="0.2">
      <c r="A31" s="8" t="s">
        <v>23</v>
      </c>
      <c r="B31" s="35"/>
      <c r="C31" s="41"/>
      <c r="D31" s="35"/>
      <c r="E31" s="35"/>
      <c r="F31" s="30"/>
      <c r="G31" s="25"/>
      <c r="H31" s="30"/>
      <c r="I31" s="30"/>
      <c r="J31" s="30"/>
      <c r="K31" s="30"/>
      <c r="L31" s="48"/>
      <c r="M31" s="48"/>
    </row>
    <row r="32" spans="1:15" x14ac:dyDescent="0.2">
      <c r="A32" s="3" t="s">
        <v>24</v>
      </c>
      <c r="B32" s="35"/>
      <c r="C32" s="41"/>
      <c r="D32" s="35"/>
      <c r="E32" s="35"/>
      <c r="F32" s="30"/>
      <c r="G32" s="25"/>
      <c r="H32" s="30"/>
      <c r="I32" s="30"/>
      <c r="J32" s="30"/>
      <c r="K32" s="30"/>
      <c r="L32" s="48"/>
      <c r="M32" s="48"/>
    </row>
    <row r="33" spans="1:13" x14ac:dyDescent="0.2">
      <c r="A33" s="3" t="s">
        <v>25</v>
      </c>
      <c r="B33" s="35"/>
      <c r="C33" s="41"/>
      <c r="D33" s="35"/>
      <c r="E33" s="35"/>
      <c r="F33" s="30"/>
      <c r="G33" s="25"/>
      <c r="H33" s="30"/>
      <c r="I33" s="30"/>
      <c r="J33" s="30"/>
      <c r="K33" s="30"/>
      <c r="L33" s="48"/>
      <c r="M33" s="48"/>
    </row>
    <row r="34" spans="1:13" s="6" customFormat="1" ht="15" customHeight="1" x14ac:dyDescent="0.2">
      <c r="A34" s="5" t="s">
        <v>26</v>
      </c>
      <c r="B34" s="34">
        <f t="shared" ref="B34:C34" si="11">SUM(B26:B33)</f>
        <v>-222274.36999999997</v>
      </c>
      <c r="C34" s="42">
        <f t="shared" si="11"/>
        <v>-181011.74</v>
      </c>
      <c r="D34" s="34">
        <f t="shared" ref="D34:E34" si="12">SUM(D26:D33)</f>
        <v>-56279.260000000068</v>
      </c>
      <c r="E34" s="34">
        <f t="shared" si="12"/>
        <v>-40868.070000000007</v>
      </c>
      <c r="F34" s="32">
        <f t="shared" ref="F34" si="13">SUM(F26:F33)</f>
        <v>-20208</v>
      </c>
      <c r="G34" s="51">
        <f t="shared" ref="G34:J34" si="14">SUM(G26:G33)</f>
        <v>-391716</v>
      </c>
      <c r="H34" s="32">
        <f t="shared" si="14"/>
        <v>-131595</v>
      </c>
      <c r="I34" s="32">
        <f t="shared" si="14"/>
        <v>-186122</v>
      </c>
      <c r="J34" s="32">
        <f t="shared" si="14"/>
        <v>-132509.71</v>
      </c>
      <c r="K34" s="32">
        <f>SUM(K26:K33)</f>
        <v>-190646.86</v>
      </c>
      <c r="L34" s="32">
        <f t="shared" ref="K34:M34" si="15">SUM(L26:L33)</f>
        <v>-238172</v>
      </c>
      <c r="M34" s="32">
        <f t="shared" si="15"/>
        <v>-262047</v>
      </c>
    </row>
    <row r="35" spans="1:13" ht="18" customHeight="1" x14ac:dyDescent="0.2">
      <c r="A35" s="3" t="s">
        <v>27</v>
      </c>
      <c r="B35" s="35"/>
      <c r="C35" s="41">
        <v>246767.04</v>
      </c>
      <c r="D35" s="35">
        <v>56279.26</v>
      </c>
      <c r="E35" s="35">
        <v>40868.07</v>
      </c>
      <c r="F35" s="30">
        <v>253562</v>
      </c>
      <c r="G35" s="25">
        <v>195965</v>
      </c>
      <c r="H35" s="30">
        <v>131615</v>
      </c>
      <c r="I35" s="30">
        <v>186141</v>
      </c>
      <c r="J35" s="30">
        <v>132509.71</v>
      </c>
      <c r="K35" s="30">
        <v>190646.86</v>
      </c>
      <c r="L35" s="48">
        <v>238172</v>
      </c>
      <c r="M35" s="30">
        <v>262047</v>
      </c>
    </row>
    <row r="36" spans="1:13" x14ac:dyDescent="0.2">
      <c r="A36" s="3" t="s">
        <v>28</v>
      </c>
      <c r="B36" s="35">
        <v>222274.5</v>
      </c>
      <c r="C36" s="41"/>
      <c r="D36" s="35"/>
      <c r="E36" s="35"/>
      <c r="F36" s="30"/>
      <c r="G36" s="25"/>
      <c r="H36" s="30"/>
      <c r="I36" s="30"/>
      <c r="J36" s="30"/>
      <c r="K36" s="30"/>
      <c r="L36" s="48"/>
      <c r="M36" s="48"/>
    </row>
    <row r="37" spans="1:13" x14ac:dyDescent="0.2">
      <c r="A37" s="3" t="s">
        <v>29</v>
      </c>
      <c r="B37" s="35"/>
      <c r="C37" s="41"/>
      <c r="D37" s="35"/>
      <c r="E37" s="35"/>
      <c r="F37" s="30">
        <v>-20954</v>
      </c>
      <c r="G37" s="25"/>
      <c r="H37" s="30"/>
      <c r="I37" s="30"/>
      <c r="J37" s="30"/>
      <c r="K37" s="30"/>
      <c r="L37" s="48"/>
      <c r="M37" s="48"/>
    </row>
    <row r="38" spans="1:13" x14ac:dyDescent="0.2">
      <c r="A38" s="3" t="s">
        <v>64</v>
      </c>
      <c r="B38" s="35"/>
      <c r="C38" s="41"/>
      <c r="D38" s="35"/>
      <c r="E38" s="35"/>
      <c r="F38" s="30"/>
      <c r="G38" s="25">
        <v>-101</v>
      </c>
      <c r="H38" s="30">
        <v>-224</v>
      </c>
      <c r="I38" s="30"/>
      <c r="J38" s="30"/>
      <c r="K38" s="30"/>
      <c r="L38" s="48"/>
      <c r="M38" s="48"/>
    </row>
    <row r="39" spans="1:13" s="6" customFormat="1" ht="19.5" customHeight="1" x14ac:dyDescent="0.2">
      <c r="A39" s="5" t="s">
        <v>30</v>
      </c>
      <c r="B39" s="34">
        <f t="shared" ref="B39:C39" si="16">SUM(B34:B37)</f>
        <v>0.13000000003376044</v>
      </c>
      <c r="C39" s="42">
        <f t="shared" si="16"/>
        <v>65755.300000000017</v>
      </c>
      <c r="D39" s="34">
        <f t="shared" ref="D39:E39" si="17">SUM(D34:D37)</f>
        <v>-6.5483618527650833E-11</v>
      </c>
      <c r="E39" s="34">
        <f t="shared" si="17"/>
        <v>0</v>
      </c>
      <c r="F39" s="32">
        <f t="shared" ref="F39" si="18">SUM(F34:F37)</f>
        <v>212400</v>
      </c>
      <c r="G39" s="51">
        <f>SUM(G34:G38)</f>
        <v>-195852</v>
      </c>
      <c r="H39" s="51">
        <f>SUM(H34:H38)</f>
        <v>-204</v>
      </c>
      <c r="I39" s="32">
        <f t="shared" ref="I39:J39" si="19">SUM(I34:I37)</f>
        <v>19</v>
      </c>
      <c r="J39" s="32">
        <f t="shared" si="19"/>
        <v>0</v>
      </c>
      <c r="K39" s="32">
        <f t="shared" ref="K39:M39" si="20">SUM(K34:K37)</f>
        <v>0</v>
      </c>
      <c r="L39" s="32">
        <f t="shared" si="20"/>
        <v>0</v>
      </c>
      <c r="M39" s="32">
        <f t="shared" si="20"/>
        <v>0</v>
      </c>
    </row>
    <row r="40" spans="1:13" ht="12" customHeight="1" x14ac:dyDescent="0.2">
      <c r="A40" s="10"/>
      <c r="B40" s="35"/>
      <c r="C40" s="16"/>
      <c r="D40" s="47"/>
      <c r="E40" s="46"/>
      <c r="F40" s="9"/>
      <c r="H40" s="48"/>
      <c r="I40" s="48"/>
      <c r="J40" s="48"/>
      <c r="K40" s="48"/>
      <c r="L40" s="75"/>
      <c r="M40" s="75"/>
    </row>
    <row r="41" spans="1:13" ht="12.75" customHeight="1" thickBot="1" x14ac:dyDescent="0.25">
      <c r="A41" s="55" t="s">
        <v>44</v>
      </c>
      <c r="B41" s="56" t="str">
        <f t="shared" ref="B41:G41" si="21">B3</f>
        <v>TP15</v>
      </c>
      <c r="C41" s="57" t="str">
        <f t="shared" si="21"/>
        <v>TP16</v>
      </c>
      <c r="D41" s="58" t="str">
        <f t="shared" si="21"/>
        <v>TP17</v>
      </c>
      <c r="E41" s="58" t="str">
        <f t="shared" si="21"/>
        <v>TP18</v>
      </c>
      <c r="F41" s="57" t="str">
        <f t="shared" si="21"/>
        <v>TP19</v>
      </c>
      <c r="G41" s="57" t="str">
        <f t="shared" si="21"/>
        <v>TP20</v>
      </c>
      <c r="H41" s="67" t="s">
        <v>66</v>
      </c>
      <c r="I41" s="67" t="s">
        <v>67</v>
      </c>
      <c r="J41" s="67" t="s">
        <v>65</v>
      </c>
      <c r="K41" s="67" t="s">
        <v>71</v>
      </c>
      <c r="L41" s="81" t="s">
        <v>68</v>
      </c>
      <c r="M41" s="77" t="s">
        <v>70</v>
      </c>
    </row>
    <row r="42" spans="1:13" x14ac:dyDescent="0.2">
      <c r="A42" s="8" t="s">
        <v>34</v>
      </c>
      <c r="B42" s="35"/>
      <c r="C42" s="25"/>
      <c r="D42" s="47"/>
      <c r="E42" s="35"/>
      <c r="F42" s="27"/>
      <c r="G42" s="16"/>
      <c r="H42" s="48"/>
      <c r="I42" s="48"/>
      <c r="J42" s="48"/>
      <c r="K42" s="48"/>
      <c r="L42" s="48"/>
      <c r="M42" s="76"/>
    </row>
    <row r="43" spans="1:13" x14ac:dyDescent="0.2">
      <c r="A43" s="3" t="s">
        <v>31</v>
      </c>
      <c r="B43" s="35">
        <f t="shared" ref="B43:C43" si="22">B26</f>
        <v>111812.43000000002</v>
      </c>
      <c r="C43" s="41">
        <f t="shared" si="22"/>
        <v>183652.84000000003</v>
      </c>
      <c r="D43" s="35">
        <f t="shared" ref="D43:E43" si="23">D26</f>
        <v>292516.19999999995</v>
      </c>
      <c r="E43" s="35">
        <f t="shared" si="23"/>
        <v>292851.71999999997</v>
      </c>
      <c r="F43" s="30">
        <f t="shared" ref="F43" si="24">F26</f>
        <v>233354</v>
      </c>
      <c r="G43" s="25">
        <f t="shared" ref="G43" si="25">G26</f>
        <v>-148469</v>
      </c>
      <c r="H43" s="30">
        <f>H26</f>
        <v>54572</v>
      </c>
      <c r="I43" s="30">
        <f>I26</f>
        <v>31201</v>
      </c>
      <c r="J43" s="30">
        <f>J26</f>
        <v>71924.570000000007</v>
      </c>
      <c r="K43" s="30">
        <f>K26</f>
        <v>2796.7899999999936</v>
      </c>
      <c r="L43" s="30">
        <f>L26</f>
        <v>9828</v>
      </c>
      <c r="M43" s="30">
        <f>M26</f>
        <v>-14047</v>
      </c>
    </row>
    <row r="44" spans="1:13" x14ac:dyDescent="0.2">
      <c r="A44" s="3" t="s">
        <v>32</v>
      </c>
      <c r="B44" s="35"/>
      <c r="C44" s="41">
        <f>C32+C33</f>
        <v>0</v>
      </c>
      <c r="D44" s="35">
        <f t="shared" ref="D44:E44" si="26">D32+D33</f>
        <v>0</v>
      </c>
      <c r="E44" s="35">
        <f t="shared" si="26"/>
        <v>0</v>
      </c>
      <c r="F44" s="30">
        <f>F32+F33</f>
        <v>0</v>
      </c>
      <c r="G44" s="25">
        <f t="shared" ref="G44" si="27">G32+G33</f>
        <v>0</v>
      </c>
      <c r="H44" s="48">
        <v>0</v>
      </c>
      <c r="I44" s="48">
        <v>0</v>
      </c>
      <c r="J44" s="48">
        <v>0</v>
      </c>
      <c r="K44" s="48">
        <v>0</v>
      </c>
      <c r="L44" s="48"/>
      <c r="M44" s="48"/>
    </row>
    <row r="45" spans="1:13" x14ac:dyDescent="0.2">
      <c r="A45" s="3" t="s">
        <v>33</v>
      </c>
      <c r="B45" s="35">
        <v>0</v>
      </c>
      <c r="C45" s="41"/>
      <c r="D45" s="35"/>
      <c r="E45" s="35"/>
      <c r="F45" s="30"/>
      <c r="G45" s="25"/>
      <c r="H45" s="48"/>
      <c r="I45" s="48"/>
      <c r="J45" s="48"/>
      <c r="K45" s="48"/>
      <c r="L45" s="48"/>
      <c r="M45" s="48"/>
    </row>
    <row r="46" spans="1:13" x14ac:dyDescent="0.2">
      <c r="A46" s="8" t="s">
        <v>35</v>
      </c>
      <c r="B46" s="35"/>
      <c r="C46" s="41"/>
      <c r="D46" s="35"/>
      <c r="E46" s="35"/>
      <c r="F46" s="30"/>
      <c r="G46" s="25"/>
      <c r="H46" s="48"/>
      <c r="I46" s="48"/>
      <c r="J46" s="48"/>
      <c r="K46" s="48"/>
      <c r="L46" s="48"/>
      <c r="M46" s="48"/>
    </row>
    <row r="47" spans="1:13" x14ac:dyDescent="0.2">
      <c r="A47" s="3" t="s">
        <v>36</v>
      </c>
      <c r="B47" s="35">
        <v>-188670.15</v>
      </c>
      <c r="C47" s="41">
        <f>-65565.43</f>
        <v>-65565.429999999993</v>
      </c>
      <c r="D47" s="35">
        <v>0</v>
      </c>
      <c r="E47" s="35"/>
      <c r="F47" s="30"/>
      <c r="G47" s="25"/>
      <c r="H47" s="35">
        <v>-371927.61</v>
      </c>
      <c r="I47" s="35">
        <v>-37258.449999999997</v>
      </c>
      <c r="J47" s="48">
        <v>0</v>
      </c>
      <c r="K47" s="48">
        <v>-10520</v>
      </c>
      <c r="L47" s="74"/>
      <c r="M47" s="30">
        <v>-1000000</v>
      </c>
    </row>
    <row r="48" spans="1:13" ht="12.75" customHeight="1" x14ac:dyDescent="0.2">
      <c r="A48" s="14" t="s">
        <v>37</v>
      </c>
      <c r="B48" s="35"/>
      <c r="C48" s="41">
        <v>20196</v>
      </c>
      <c r="D48" s="35">
        <v>0</v>
      </c>
      <c r="E48" s="35"/>
      <c r="F48" s="30"/>
      <c r="G48" s="25"/>
      <c r="H48" s="35"/>
      <c r="I48" s="35"/>
      <c r="J48" s="48"/>
      <c r="K48" s="48"/>
      <c r="L48" s="48"/>
      <c r="M48" s="48"/>
    </row>
    <row r="49" spans="1:13" x14ac:dyDescent="0.2">
      <c r="A49" s="14" t="s">
        <v>47</v>
      </c>
      <c r="B49" s="35">
        <v>100</v>
      </c>
      <c r="C49" s="41">
        <v>-18474.759999999998</v>
      </c>
      <c r="D49" s="35"/>
      <c r="E49" s="35"/>
      <c r="F49" s="30">
        <v>1316722.8</v>
      </c>
      <c r="G49" s="25"/>
      <c r="H49" s="35"/>
      <c r="I49" s="35"/>
      <c r="J49" s="48"/>
      <c r="K49" s="48"/>
      <c r="L49" s="48"/>
      <c r="M49" s="48"/>
    </row>
    <row r="50" spans="1:13" x14ac:dyDescent="0.2">
      <c r="A50" s="13" t="s">
        <v>46</v>
      </c>
      <c r="B50" s="38">
        <f t="shared" ref="B50:C50" si="28">SUM(B42:B49)</f>
        <v>-76757.719999999972</v>
      </c>
      <c r="C50" s="45">
        <f t="shared" si="28"/>
        <v>119808.65000000004</v>
      </c>
      <c r="D50" s="38">
        <f t="shared" ref="D50:E50" si="29">SUM(D42:D49)</f>
        <v>292516.19999999995</v>
      </c>
      <c r="E50" s="38">
        <f t="shared" si="29"/>
        <v>292851.71999999997</v>
      </c>
      <c r="F50" s="33">
        <f t="shared" ref="F50" si="30">SUM(F42:F49)</f>
        <v>1550076.8</v>
      </c>
      <c r="G50" s="52">
        <f t="shared" ref="G50:J50" si="31">SUM(G42:G49)</f>
        <v>-148469</v>
      </c>
      <c r="H50" s="38">
        <f t="shared" si="31"/>
        <v>-317355.61</v>
      </c>
      <c r="I50" s="38">
        <f t="shared" si="31"/>
        <v>-6057.4499999999971</v>
      </c>
      <c r="J50" s="33">
        <f t="shared" si="31"/>
        <v>71924.570000000007</v>
      </c>
      <c r="K50" s="33">
        <f t="shared" ref="K50:M50" si="32">SUM(K42:K49)</f>
        <v>-7723.2100000000064</v>
      </c>
      <c r="L50" s="33">
        <f t="shared" si="32"/>
        <v>9828</v>
      </c>
      <c r="M50" s="33">
        <f t="shared" si="32"/>
        <v>-1014047</v>
      </c>
    </row>
    <row r="51" spans="1:13" x14ac:dyDescent="0.2">
      <c r="B51" s="35"/>
      <c r="C51" s="41"/>
      <c r="D51" s="35"/>
      <c r="E51" s="35"/>
      <c r="F51" s="30"/>
      <c r="G51" s="25"/>
      <c r="H51" s="35"/>
      <c r="I51" s="35"/>
      <c r="J51" s="48"/>
      <c r="K51" s="48"/>
      <c r="L51" s="48"/>
      <c r="M51" s="48"/>
    </row>
    <row r="52" spans="1:13" x14ac:dyDescent="0.2">
      <c r="A52" s="8" t="s">
        <v>39</v>
      </c>
      <c r="B52" s="35"/>
      <c r="C52" s="41"/>
      <c r="D52" s="35"/>
      <c r="E52" s="35"/>
      <c r="F52" s="30"/>
      <c r="G52" s="25"/>
      <c r="H52" s="35"/>
      <c r="I52" s="35"/>
      <c r="J52" s="48"/>
      <c r="K52" s="48"/>
      <c r="L52" s="48"/>
      <c r="M52" s="48"/>
    </row>
    <row r="53" spans="1:13" x14ac:dyDescent="0.2">
      <c r="A53" s="3" t="s">
        <v>50</v>
      </c>
      <c r="B53" s="35"/>
      <c r="C53" s="41"/>
      <c r="D53" s="35"/>
      <c r="E53" s="35"/>
      <c r="F53" s="30"/>
      <c r="G53" s="25"/>
      <c r="H53" s="35"/>
      <c r="I53" s="35"/>
      <c r="J53" s="48"/>
      <c r="K53" s="48"/>
      <c r="L53" s="48"/>
      <c r="M53" s="48"/>
    </row>
    <row r="54" spans="1:13" x14ac:dyDescent="0.2">
      <c r="A54" s="3" t="s">
        <v>51</v>
      </c>
      <c r="B54" s="35"/>
      <c r="C54" s="41"/>
      <c r="D54" s="35"/>
      <c r="E54" s="35"/>
      <c r="F54" s="30"/>
      <c r="G54" s="25"/>
      <c r="H54" s="35"/>
      <c r="I54" s="35"/>
      <c r="J54" s="48"/>
      <c r="K54" s="48"/>
      <c r="L54" s="48"/>
      <c r="M54" s="48"/>
    </row>
    <row r="55" spans="1:13" x14ac:dyDescent="0.2">
      <c r="A55" s="8" t="s">
        <v>55</v>
      </c>
      <c r="B55" s="35">
        <f>-25228.16-161112</f>
        <v>-186340.16</v>
      </c>
      <c r="C55" s="41">
        <v>-161112</v>
      </c>
      <c r="D55" s="35">
        <v>-161112</v>
      </c>
      <c r="E55" s="35">
        <v>-161112</v>
      </c>
      <c r="F55" s="30">
        <v>-63876</v>
      </c>
      <c r="G55" s="25">
        <v>0</v>
      </c>
      <c r="H55" s="35"/>
      <c r="I55" s="35"/>
      <c r="J55" s="48"/>
      <c r="K55" s="48"/>
      <c r="L55" s="48"/>
      <c r="M55" s="48"/>
    </row>
    <row r="56" spans="1:13" ht="10.5" customHeight="1" x14ac:dyDescent="0.2">
      <c r="A56" s="8" t="s">
        <v>54</v>
      </c>
      <c r="B56" s="35"/>
      <c r="C56" s="41"/>
      <c r="D56" s="35"/>
      <c r="E56" s="35"/>
      <c r="F56" s="30"/>
      <c r="G56" s="25"/>
      <c r="H56" s="35"/>
      <c r="I56" s="35"/>
      <c r="J56" s="48"/>
      <c r="K56" s="48"/>
      <c r="L56" s="48"/>
      <c r="M56" s="48"/>
    </row>
    <row r="57" spans="1:13" x14ac:dyDescent="0.2">
      <c r="A57" s="8" t="s">
        <v>40</v>
      </c>
      <c r="B57" s="35"/>
      <c r="C57" s="41"/>
      <c r="D57" s="35"/>
      <c r="E57" s="35"/>
      <c r="F57" s="30"/>
      <c r="G57" s="25"/>
      <c r="H57" s="35"/>
      <c r="I57" s="35"/>
      <c r="J57" s="48"/>
      <c r="K57" s="48"/>
      <c r="L57" s="48"/>
      <c r="M57" s="48"/>
    </row>
    <row r="58" spans="1:13" x14ac:dyDescent="0.2">
      <c r="A58" s="4" t="s">
        <v>41</v>
      </c>
      <c r="B58" s="35">
        <f>-169415.13-18576.24</f>
        <v>-187991.37</v>
      </c>
      <c r="C58" s="41">
        <f>-55446.96+44752.87</f>
        <v>-10694.089999999997</v>
      </c>
      <c r="D58" s="35">
        <f>-18424.6+20624.55</f>
        <v>2199.9500000000007</v>
      </c>
      <c r="E58" s="35">
        <f>-49971.32-30904.71</f>
        <v>-80876.03</v>
      </c>
      <c r="F58" s="30">
        <v>-78718</v>
      </c>
      <c r="G58" s="25">
        <f>133194.37-1788.95-101.26</f>
        <v>131304.15999999997</v>
      </c>
      <c r="H58" s="35">
        <f>-212576.86+262921.26-224.66</f>
        <v>50119.74000000002</v>
      </c>
      <c r="I58" s="35">
        <f>139936.84-289922.12</f>
        <v>-149985.28</v>
      </c>
      <c r="J58" s="30">
        <f>75784.61-25653.2</f>
        <v>50131.41</v>
      </c>
      <c r="K58" s="30">
        <f>23787.66+10100.77</f>
        <v>33888.43</v>
      </c>
      <c r="L58" s="48"/>
      <c r="M58" s="48"/>
    </row>
    <row r="59" spans="1:13" x14ac:dyDescent="0.2">
      <c r="B59" s="35"/>
      <c r="C59" s="41"/>
      <c r="D59" s="35"/>
      <c r="E59" s="35"/>
      <c r="F59" s="30"/>
      <c r="G59" s="25"/>
      <c r="H59" s="48"/>
      <c r="I59" s="48"/>
      <c r="J59" s="48"/>
      <c r="K59" s="48"/>
      <c r="L59" s="48"/>
      <c r="M59" s="48"/>
    </row>
    <row r="60" spans="1:13" x14ac:dyDescent="0.2">
      <c r="A60" s="12" t="s">
        <v>38</v>
      </c>
      <c r="B60" s="38">
        <f>SUM(B52:B59)</f>
        <v>-374331.53</v>
      </c>
      <c r="C60" s="45">
        <f>SUM(C52:C59)</f>
        <v>-171806.09</v>
      </c>
      <c r="D60" s="38">
        <f t="shared" ref="D60:E60" si="33">SUM(D52:D59)</f>
        <v>-158912.04999999999</v>
      </c>
      <c r="E60" s="38">
        <f t="shared" si="33"/>
        <v>-241988.03</v>
      </c>
      <c r="F60" s="33">
        <f t="shared" ref="F60" si="34">SUM(F52:F59)</f>
        <v>-142594</v>
      </c>
      <c r="G60" s="52">
        <f t="shared" ref="G60:J60" si="35">SUM(G52:G59)</f>
        <v>131304.15999999997</v>
      </c>
      <c r="H60" s="33">
        <f t="shared" si="35"/>
        <v>50119.74000000002</v>
      </c>
      <c r="I60" s="33">
        <f t="shared" si="35"/>
        <v>-149985.28</v>
      </c>
      <c r="J60" s="33">
        <f t="shared" si="35"/>
        <v>50131.41</v>
      </c>
      <c r="K60" s="33">
        <f t="shared" ref="K60:M60" si="36">SUM(K52:K59)</f>
        <v>33888.43</v>
      </c>
      <c r="L60" s="33">
        <f t="shared" si="36"/>
        <v>0</v>
      </c>
      <c r="M60" s="33">
        <f t="shared" si="36"/>
        <v>0</v>
      </c>
    </row>
    <row r="61" spans="1:13" x14ac:dyDescent="0.2">
      <c r="B61" s="35"/>
      <c r="C61" s="41"/>
      <c r="D61" s="35"/>
      <c r="E61" s="35"/>
      <c r="F61" s="30"/>
      <c r="G61" s="53"/>
      <c r="H61" s="48"/>
      <c r="I61" s="48"/>
      <c r="J61" s="48"/>
      <c r="K61" s="48"/>
      <c r="L61" s="48"/>
      <c r="M61" s="48"/>
    </row>
    <row r="62" spans="1:13" x14ac:dyDescent="0.2">
      <c r="A62" s="8" t="s">
        <v>42</v>
      </c>
      <c r="B62" s="35">
        <f t="shared" ref="B62:J62" si="37">B50+B60</f>
        <v>-451089.25</v>
      </c>
      <c r="C62" s="41">
        <f t="shared" si="37"/>
        <v>-51997.439999999959</v>
      </c>
      <c r="D62" s="35">
        <f t="shared" si="37"/>
        <v>133604.14999999997</v>
      </c>
      <c r="E62" s="35">
        <f t="shared" si="37"/>
        <v>50863.689999999973</v>
      </c>
      <c r="F62" s="30">
        <f t="shared" si="37"/>
        <v>1407482.8</v>
      </c>
      <c r="G62" s="25">
        <f t="shared" si="37"/>
        <v>-17164.840000000026</v>
      </c>
      <c r="H62" s="30">
        <f t="shared" si="37"/>
        <v>-267235.87</v>
      </c>
      <c r="I62" s="30">
        <f t="shared" si="37"/>
        <v>-156042.72999999998</v>
      </c>
      <c r="J62" s="30">
        <f t="shared" si="37"/>
        <v>122055.98000000001</v>
      </c>
      <c r="K62" s="30">
        <f>K50+K60</f>
        <v>26165.219999999994</v>
      </c>
      <c r="L62" s="30">
        <f>L50+L60</f>
        <v>9828</v>
      </c>
      <c r="M62" s="30">
        <f>M50+M60</f>
        <v>-1014047</v>
      </c>
    </row>
    <row r="63" spans="1:13" x14ac:dyDescent="0.2">
      <c r="A63" s="8" t="s">
        <v>58</v>
      </c>
      <c r="B63" s="35"/>
      <c r="C63" s="41">
        <v>111303.03999999999</v>
      </c>
      <c r="D63" s="35">
        <f t="shared" ref="D63:L63" si="38">C64</f>
        <v>59305.600000000035</v>
      </c>
      <c r="E63" s="35">
        <f t="shared" si="38"/>
        <v>192909.75</v>
      </c>
      <c r="F63" s="30">
        <f t="shared" si="38"/>
        <v>243773.44</v>
      </c>
      <c r="G63" s="25">
        <f>F64</f>
        <v>1651256.24</v>
      </c>
      <c r="H63" s="30">
        <f t="shared" si="38"/>
        <v>1634091.4</v>
      </c>
      <c r="I63" s="30">
        <f t="shared" si="38"/>
        <v>1366855.5299999998</v>
      </c>
      <c r="J63" s="30">
        <f>I64</f>
        <v>1210812.7999999998</v>
      </c>
      <c r="K63" s="30">
        <f>J64</f>
        <v>1332868.7799999998</v>
      </c>
      <c r="L63" s="30">
        <f>K64</f>
        <v>1359033.9999999998</v>
      </c>
      <c r="M63" s="30">
        <f>L64</f>
        <v>1368861.9999999998</v>
      </c>
    </row>
    <row r="64" spans="1:13" x14ac:dyDescent="0.2">
      <c r="A64" s="69" t="s">
        <v>59</v>
      </c>
      <c r="B64" s="70">
        <v>111303.03999999999</v>
      </c>
      <c r="C64" s="71">
        <f>C63+C62</f>
        <v>59305.600000000035</v>
      </c>
      <c r="D64" s="71">
        <f>D63+D62</f>
        <v>192909.75</v>
      </c>
      <c r="E64" s="71">
        <v>243773.44</v>
      </c>
      <c r="F64" s="54">
        <f t="shared" ref="F64:M64" si="39">SUM(F62:F63)</f>
        <v>1651256.24</v>
      </c>
      <c r="G64" s="54">
        <f t="shared" si="39"/>
        <v>1634091.4</v>
      </c>
      <c r="H64" s="54">
        <f t="shared" si="39"/>
        <v>1366855.5299999998</v>
      </c>
      <c r="I64" s="54">
        <f t="shared" si="39"/>
        <v>1210812.7999999998</v>
      </c>
      <c r="J64" s="54">
        <f t="shared" si="39"/>
        <v>1332868.7799999998</v>
      </c>
      <c r="K64" s="54">
        <f>SUM(K62:K63)</f>
        <v>1359033.9999999998</v>
      </c>
      <c r="L64" s="54">
        <f>SUM(L62:L63)</f>
        <v>1368861.9999999998</v>
      </c>
      <c r="M64" s="54">
        <f t="shared" si="39"/>
        <v>354814.99999999977</v>
      </c>
    </row>
    <row r="65" spans="1:5" ht="12.75" x14ac:dyDescent="0.25">
      <c r="A65" s="39"/>
      <c r="B65" s="40"/>
      <c r="C65" s="40"/>
      <c r="D65" s="40"/>
      <c r="E65" s="40"/>
    </row>
    <row r="66" spans="1:5" x14ac:dyDescent="0.2">
      <c r="A66" s="4"/>
      <c r="B66" s="11"/>
      <c r="C66" s="23"/>
      <c r="D66" s="9"/>
    </row>
    <row r="67" spans="1:5" x14ac:dyDescent="0.2">
      <c r="A67" s="15"/>
      <c r="C67" s="46"/>
    </row>
    <row r="68" spans="1:5" x14ac:dyDescent="0.2">
      <c r="A68" s="15"/>
    </row>
    <row r="69" spans="1:5" ht="27.75" customHeight="1" x14ac:dyDescent="0.2">
      <c r="A69" s="78"/>
      <c r="B69" s="78"/>
      <c r="C69" s="78"/>
      <c r="D69" s="78"/>
      <c r="E69" s="78"/>
    </row>
  </sheetData>
  <mergeCells count="2">
    <mergeCell ref="A69:E69"/>
    <mergeCell ref="A1:E1"/>
  </mergeCells>
  <pageMargins left="0.78740157480314965" right="0.15748031496062992" top="0.82677165354330717" bottom="0.74803149606299213" header="0.39370078740157483" footer="0.15748031496062992"/>
  <pageSetup paperSize="9" scale="88" firstPageNumber="182" fitToHeight="2" orientation="portrait" cellComments="asDisplayed" useFirstPageNumber="1" r:id="rId1"/>
  <headerFooter scaleWithDoc="0" alignWithMargins="0">
    <oddHeader>&amp;L&amp;11NAANTALIN KAUPUNKI&amp;C&amp;"Arial,Lihavoitu"&amp;11TALOUSSUUNNITELMA 2017 - 2020</oddHeader>
    <oddFooter xml:space="preserve">&amp;L____________________________________________________
&amp;C____________________________________________________
RAHOITUSOSA
&amp;R____________________________________________________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13"/>
  <sheetViews>
    <sheetView workbookViewId="0">
      <selection activeCell="I21" sqref="I21"/>
    </sheetView>
  </sheetViews>
  <sheetFormatPr defaultRowHeight="12.75" x14ac:dyDescent="0.2"/>
  <cols>
    <col min="3" max="3" width="20" customWidth="1"/>
    <col min="4" max="9" width="14.7109375" customWidth="1"/>
  </cols>
  <sheetData>
    <row r="5" spans="3:9" x14ac:dyDescent="0.2">
      <c r="C5" s="20"/>
      <c r="D5" s="17"/>
      <c r="E5" s="17"/>
      <c r="F5" s="17"/>
      <c r="G5" s="18"/>
      <c r="H5" s="19"/>
      <c r="I5" s="18"/>
    </row>
    <row r="6" spans="3:9" x14ac:dyDescent="0.2">
      <c r="C6" s="20"/>
      <c r="D6" s="17"/>
      <c r="E6" s="17"/>
      <c r="F6" s="17"/>
      <c r="G6" s="18"/>
      <c r="H6" s="19"/>
      <c r="I6" s="18"/>
    </row>
    <row r="7" spans="3:9" x14ac:dyDescent="0.2">
      <c r="C7" s="21"/>
      <c r="D7" s="17"/>
      <c r="E7" s="17"/>
      <c r="F7" s="17"/>
      <c r="G7" s="17"/>
      <c r="H7" s="17"/>
      <c r="I7" s="17"/>
    </row>
    <row r="8" spans="3:9" x14ac:dyDescent="0.2">
      <c r="C8" s="21"/>
      <c r="D8" s="17"/>
      <c r="E8" s="17"/>
      <c r="F8" s="17"/>
      <c r="G8" s="17"/>
      <c r="H8" s="17"/>
      <c r="I8" s="17"/>
    </row>
    <row r="9" spans="3:9" x14ac:dyDescent="0.2">
      <c r="C9" s="21"/>
      <c r="D9" s="17"/>
      <c r="E9" s="17"/>
      <c r="F9" s="17"/>
      <c r="G9" s="17"/>
      <c r="H9" s="17"/>
      <c r="I9" s="17"/>
    </row>
    <row r="10" spans="3:9" x14ac:dyDescent="0.2">
      <c r="C10" s="21"/>
      <c r="D10" s="17"/>
      <c r="E10" s="17"/>
      <c r="F10" s="17"/>
      <c r="G10" s="17"/>
      <c r="H10" s="17"/>
      <c r="I10" s="17"/>
    </row>
    <row r="11" spans="3:9" x14ac:dyDescent="0.2">
      <c r="C11" s="21"/>
      <c r="D11" s="17"/>
      <c r="E11" s="17"/>
      <c r="F11" s="17"/>
      <c r="G11" s="17"/>
      <c r="H11" s="17"/>
      <c r="I11" s="17"/>
    </row>
    <row r="13" spans="3:9" x14ac:dyDescent="0.2">
      <c r="F13" s="22"/>
      <c r="G13" s="22"/>
      <c r="H13" s="22"/>
      <c r="I13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EA353008B7EE43B2747A0B73237844" ma:contentTypeVersion="2" ma:contentTypeDescription="Luo uusi asiakirja." ma:contentTypeScope="" ma:versionID="20aabcdf05d8bf8db8af5dc146321285">
  <xsd:schema xmlns:xsd="http://www.w3.org/2001/XMLSchema" xmlns:xs="http://www.w3.org/2001/XMLSchema" xmlns:p="http://schemas.microsoft.com/office/2006/metadata/properties" xmlns:ns3="62848ad5-8135-45ad-a40d-38f92bd383b4" targetNamespace="http://schemas.microsoft.com/office/2006/metadata/properties" ma:root="true" ma:fieldsID="fc48ce7f17a2be62c6d52f62969959c1" ns3:_="">
    <xsd:import namespace="62848ad5-8135-45ad-a40d-38f92bd383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48ad5-8135-45ad-a40d-38f92bd38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B78F7-9731-420E-A728-6C394257A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3172D-554F-4FC9-BA86-7D4A6E3421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848ad5-8135-45ad-a40d-38f92bd38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FACA25-D082-41E0-B598-C20BC55F47A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Tulos ja rahoitus</vt:lpstr>
      <vt:lpstr>Taul1</vt:lpstr>
      <vt:lpstr>'Tulos ja rahoitus'!Print_Area</vt:lpstr>
      <vt:lpstr>'Tulos ja rahoitus'!Tulostusalue</vt:lpstr>
    </vt:vector>
  </TitlesOfParts>
  <Company>Naantalin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juha.heinonen</dc:creator>
  <cp:lastModifiedBy>Lähteenmäki Heli</cp:lastModifiedBy>
  <cp:lastPrinted>2018-10-02T09:51:09Z</cp:lastPrinted>
  <dcterms:created xsi:type="dcterms:W3CDTF">2011-06-04T12:13:56Z</dcterms:created>
  <dcterms:modified xsi:type="dcterms:W3CDTF">2025-08-14T10:38:05Z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0x01010023EA353008B7EE43B2747A0B73237844</vt:lpwstr>
  </property>
</Properties>
</file>